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ED\Secretaries\Shared\Deanery\Guidance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S24" i="1" l="1"/>
  <c r="S28" i="1"/>
  <c r="S27" i="1"/>
  <c r="S26" i="1"/>
  <c r="S25" i="1"/>
  <c r="S23" i="1"/>
  <c r="S22" i="1"/>
  <c r="S21" i="1"/>
  <c r="S20" i="1"/>
  <c r="S19" i="1"/>
  <c r="P27" i="1"/>
  <c r="P26" i="1"/>
  <c r="P25" i="1"/>
  <c r="P24" i="1"/>
  <c r="P23" i="1"/>
  <c r="P22" i="1"/>
  <c r="P21" i="1"/>
  <c r="P20" i="1"/>
  <c r="P19" i="1"/>
  <c r="Q14" i="1"/>
  <c r="Q13" i="1"/>
  <c r="U13" i="1"/>
  <c r="U12" i="1"/>
  <c r="U11" i="1"/>
  <c r="U10" i="1"/>
  <c r="U9" i="1"/>
  <c r="U8" i="1"/>
  <c r="U7" i="1"/>
  <c r="U6" i="1"/>
  <c r="U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S16" i="1"/>
  <c r="S15" i="1"/>
  <c r="S14" i="1"/>
  <c r="S13" i="1"/>
  <c r="O15" i="1"/>
  <c r="O14" i="1"/>
  <c r="O13" i="1"/>
  <c r="S10" i="1"/>
  <c r="S9" i="1"/>
  <c r="S8" i="1"/>
  <c r="S7" i="1"/>
  <c r="S6" i="1"/>
  <c r="S5" i="1"/>
  <c r="Q9" i="1"/>
  <c r="Q5" i="1"/>
  <c r="Q8" i="1"/>
  <c r="Q7" i="1"/>
  <c r="Q6" i="1"/>
  <c r="O7" i="1"/>
  <c r="O6" i="1"/>
  <c r="O5" i="1"/>
  <c r="R2" i="1"/>
  <c r="P2" i="1"/>
</calcChain>
</file>

<file path=xl/sharedStrings.xml><?xml version="1.0" encoding="utf-8"?>
<sst xmlns="http://schemas.openxmlformats.org/spreadsheetml/2006/main" count="99" uniqueCount="92">
  <si>
    <t xml:space="preserve">Date </t>
  </si>
  <si>
    <t>ASA</t>
  </si>
  <si>
    <t xml:space="preserve">Supervision </t>
  </si>
  <si>
    <t>Priority</t>
  </si>
  <si>
    <t xml:space="preserve">Notes </t>
  </si>
  <si>
    <t>Immediate</t>
  </si>
  <si>
    <t>Urgent</t>
  </si>
  <si>
    <t>F</t>
  </si>
  <si>
    <t>M</t>
  </si>
  <si>
    <t>Emergency</t>
  </si>
  <si>
    <t>Urology</t>
  </si>
  <si>
    <t>Routine</t>
  </si>
  <si>
    <t>16 - 80 yr</t>
  </si>
  <si>
    <t>6 - 15 yr</t>
  </si>
  <si>
    <t>1 - 5 yr</t>
  </si>
  <si>
    <t>Gender</t>
  </si>
  <si>
    <t>Cardiac</t>
  </si>
  <si>
    <t>Dental</t>
  </si>
  <si>
    <t>ENT</t>
  </si>
  <si>
    <t>General</t>
  </si>
  <si>
    <t>Gynaecology</t>
  </si>
  <si>
    <t>Maxillo-facial</t>
  </si>
  <si>
    <t>Miscellaneous</t>
  </si>
  <si>
    <t>Neonates</t>
  </si>
  <si>
    <t>Neuro</t>
  </si>
  <si>
    <t>Obstetrics</t>
  </si>
  <si>
    <t>Ophthalmics</t>
  </si>
  <si>
    <t>Orthopaedics</t>
  </si>
  <si>
    <t>Paediatrics</t>
  </si>
  <si>
    <t>Plastics</t>
  </si>
  <si>
    <t>Radiology</t>
  </si>
  <si>
    <t>Resuscitation</t>
  </si>
  <si>
    <t>Trauma</t>
  </si>
  <si>
    <t>Thoracic</t>
  </si>
  <si>
    <t>Vascular</t>
  </si>
  <si>
    <t>ASA 1</t>
  </si>
  <si>
    <t>ASA 2</t>
  </si>
  <si>
    <t>ASA 3</t>
  </si>
  <si>
    <t>ASA 4</t>
  </si>
  <si>
    <t>ASA 5</t>
  </si>
  <si>
    <t>Donor</t>
  </si>
  <si>
    <t>Local</t>
  </si>
  <si>
    <t>GA mask</t>
  </si>
  <si>
    <t>GA LMA</t>
  </si>
  <si>
    <t>GA LMA IPPV</t>
  </si>
  <si>
    <t>GA ETT SV</t>
  </si>
  <si>
    <t>GA ETT IPPV</t>
  </si>
  <si>
    <t>LA</t>
  </si>
  <si>
    <t>Sedation</t>
  </si>
  <si>
    <t>Monitoring only</t>
  </si>
  <si>
    <t>Other</t>
  </si>
  <si>
    <t>Mode of Anaesthesia</t>
  </si>
  <si>
    <t>Day case</t>
  </si>
  <si>
    <t>Time of Day</t>
  </si>
  <si>
    <t>Age</t>
  </si>
  <si>
    <t>08.00 - 18.00</t>
  </si>
  <si>
    <t>18.00 - 24.00</t>
  </si>
  <si>
    <t>00.00 - 08.00</t>
  </si>
  <si>
    <t>Regional Techniques</t>
  </si>
  <si>
    <t>Spinal</t>
  </si>
  <si>
    <t>Epidural (including CSE)</t>
  </si>
  <si>
    <t>Brachial plexus</t>
  </si>
  <si>
    <t>Sciatic</t>
  </si>
  <si>
    <t>Femoral</t>
  </si>
  <si>
    <t>IVRA</t>
  </si>
  <si>
    <t>Minor nerve blocks</t>
  </si>
  <si>
    <t>Cervical plexus</t>
  </si>
  <si>
    <t>Peripheral</t>
  </si>
  <si>
    <t>RSI</t>
  </si>
  <si>
    <t>TIVA</t>
  </si>
  <si>
    <t>CVP line</t>
  </si>
  <si>
    <t>Arterial line</t>
  </si>
  <si>
    <t>Fibreoptic intubation</t>
  </si>
  <si>
    <t>Percutaneous tracheostomy</t>
  </si>
  <si>
    <t>Double lumen tube</t>
  </si>
  <si>
    <t>Chest drain</t>
  </si>
  <si>
    <t>Additional Procedures</t>
  </si>
  <si>
    <t xml:space="preserve">Speciality </t>
  </si>
  <si>
    <t>Anaesthetic Logbook</t>
  </si>
  <si>
    <t>Date</t>
  </si>
  <si>
    <t>From</t>
  </si>
  <si>
    <t>To</t>
  </si>
  <si>
    <t>Age Range</t>
  </si>
  <si>
    <t>Supervision</t>
  </si>
  <si>
    <t>Mode</t>
  </si>
  <si>
    <t>0 - 1 yr</t>
  </si>
  <si>
    <t>Over 80 yr</t>
  </si>
  <si>
    <t>Speciality</t>
  </si>
  <si>
    <t>PA catheter</t>
  </si>
  <si>
    <t>Summary Report</t>
  </si>
  <si>
    <t>Distant</t>
  </si>
  <si>
    <t>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</si>
</sst>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BBE7"/>
        <bgColor indexed="64"/>
      </patternFill>
    </fill>
    <fill>
      <patternFill patternType="solid">
        <fgColor rgb="FFB35AB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14" fontId="0" fillId="0" borderId="4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14" fontId="0" fillId="0" borderId="6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3" borderId="12" xfId="0" applyFont="1" applyFill="1" applyBorder="1" applyProtection="1"/>
    <xf numFmtId="0" fontId="4" fillId="3" borderId="13" xfId="0" applyFont="1" applyFill="1" applyBorder="1" applyProtection="1"/>
    <xf numFmtId="0" fontId="4" fillId="3" borderId="14" xfId="0" applyFont="1" applyFill="1" applyBorder="1" applyProtection="1"/>
    <xf numFmtId="0" fontId="4" fillId="3" borderId="17" xfId="0" applyFont="1" applyFill="1" applyBorder="1" applyProtection="1"/>
    <xf numFmtId="0" fontId="4" fillId="3" borderId="18" xfId="0" applyFont="1" applyFill="1" applyBorder="1" applyProtection="1"/>
    <xf numFmtId="14" fontId="3" fillId="0" borderId="18" xfId="0" applyNumberFormat="1" applyFont="1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20" xfId="0" applyBorder="1" applyProtection="1"/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24" xfId="0" applyFont="1" applyBorder="1" applyProtection="1"/>
    <xf numFmtId="0" fontId="0" fillId="0" borderId="22" xfId="0" applyBorder="1" applyAlignment="1" applyProtection="1">
      <alignment horizontal="center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0" borderId="21" xfId="0" applyBorder="1" applyProtection="1"/>
    <xf numFmtId="0" fontId="0" fillId="0" borderId="23" xfId="0" applyBorder="1" applyAlignment="1" applyProtection="1">
      <alignment horizontal="center"/>
    </xf>
    <xf numFmtId="0" fontId="0" fillId="0" borderId="0" xfId="0" applyBorder="1" applyProtection="1"/>
    <xf numFmtId="0" fontId="0" fillId="0" borderId="4" xfId="0" applyBorder="1" applyProtection="1"/>
    <xf numFmtId="0" fontId="0" fillId="0" borderId="20" xfId="0" applyFill="1" applyBorder="1" applyProtection="1"/>
    <xf numFmtId="0" fontId="0" fillId="0" borderId="22" xfId="0" applyBorder="1" applyProtection="1"/>
    <xf numFmtId="0" fontId="0" fillId="0" borderId="21" xfId="0" applyFill="1" applyBorder="1" applyProtection="1"/>
    <xf numFmtId="0" fontId="0" fillId="0" borderId="24" xfId="0" applyBorder="1" applyProtection="1"/>
    <xf numFmtId="0" fontId="0" fillId="0" borderId="19" xfId="0" applyBorder="1" applyProtection="1"/>
    <xf numFmtId="0" fontId="0" fillId="0" borderId="9" xfId="0" applyBorder="1" applyProtection="1"/>
    <xf numFmtId="0" fontId="0" fillId="0" borderId="25" xfId="0" applyBorder="1" applyAlignment="1" applyProtection="1">
      <alignment horizontal="center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0" borderId="26" xfId="0" applyBorder="1" applyProtection="1"/>
    <xf numFmtId="0" fontId="0" fillId="0" borderId="7" xfId="0" applyBorder="1" applyProtection="1"/>
    <xf numFmtId="0" fontId="0" fillId="0" borderId="11" xfId="0" applyBorder="1" applyAlignment="1" applyProtection="1">
      <alignment horizontal="center"/>
    </xf>
    <xf numFmtId="0" fontId="0" fillId="2" borderId="8" xfId="0" applyFill="1" applyBorder="1" applyProtection="1"/>
    <xf numFmtId="0" fontId="5" fillId="4" borderId="15" xfId="0" applyFont="1" applyFill="1" applyBorder="1" applyAlignment="1" applyProtection="1">
      <alignment horizontal="left"/>
    </xf>
    <xf numFmtId="0" fontId="5" fillId="4" borderId="16" xfId="0" applyFont="1" applyFill="1" applyBorder="1" applyAlignment="1" applyProtection="1">
      <alignment horizontal="left"/>
    </xf>
    <xf numFmtId="0" fontId="0" fillId="2" borderId="31" xfId="0" applyFill="1" applyBorder="1" applyProtection="1"/>
    <xf numFmtId="0" fontId="0" fillId="2" borderId="29" xfId="0" applyFill="1" applyBorder="1" applyAlignment="1" applyProtection="1">
      <alignment horizontal="center"/>
    </xf>
    <xf numFmtId="0" fontId="6" fillId="4" borderId="33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/>
    <xf numFmtId="0" fontId="0" fillId="3" borderId="27" xfId="0" applyFill="1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14" fontId="3" fillId="0" borderId="30" xfId="0" applyNumberFormat="1" applyFont="1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1" fillId="3" borderId="31" xfId="0" applyFont="1" applyFill="1" applyBorder="1" applyAlignment="1" applyProtection="1"/>
    <xf numFmtId="0" fontId="1" fillId="3" borderId="27" xfId="0" applyFont="1" applyFill="1" applyBorder="1" applyAlignment="1" applyProtection="1"/>
    <xf numFmtId="0" fontId="0" fillId="0" borderId="32" xfId="0" applyBorder="1" applyAlignment="1" applyProtection="1"/>
    <xf numFmtId="16" fontId="1" fillId="3" borderId="27" xfId="0" applyNumberFormat="1" applyFont="1" applyFill="1" applyBorder="1" applyAlignment="1" applyProtection="1"/>
    <xf numFmtId="0" fontId="0" fillId="3" borderId="31" xfId="0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5ABA"/>
      <color rgb="FFD3BBE7"/>
      <color rgb="FF9E69C9"/>
      <color rgb="FFAE7A9A"/>
      <color rgb="FFA0ED7D"/>
      <color rgb="FFDEB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976313</xdr:colOff>
      <xdr:row>0</xdr:row>
      <xdr:rowOff>0</xdr:rowOff>
    </xdr:from>
    <xdr:to>
      <xdr:col>11</xdr:col>
      <xdr:colOff>1488282</xdr:colOff>
      <xdr:row>0</xdr:row>
      <xdr:rowOff>1406936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A20039-E454-413E-8549-74F382104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0"/>
          <a:ext cx="3607594" cy="1406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1"/>
  <sheetViews>
    <sheetView tabSelected="1" topLeftCell="B1" zoomScale="80" zoomScaleNormal="80" workbookViewId="0">
      <selection activeCell="F3" sqref="F3"/>
    </sheetView>
  </sheetViews>
  <sheetFormatPr defaultRowHeight="15" x14ac:dyDescent="0.25"/>
  <cols>
    <col min="1" max="1" width="10.7109375" bestFit="1" customWidth="1"/>
    <col min="2" max="2" width="14.140625" customWidth="1"/>
    <col min="3" max="3" width="5.28515625" customWidth="1"/>
    <col min="4" max="4" width="9.140625" customWidth="1"/>
    <col min="5" max="5" width="5.140625" bestFit="1" customWidth="1"/>
    <col min="6" max="6" width="13.5703125" bestFit="1" customWidth="1"/>
    <col min="7" max="7" width="8.5703125" bestFit="1" customWidth="1"/>
    <col min="8" max="8" width="11.28515625" bestFit="1" customWidth="1"/>
    <col min="9" max="9" width="24.28515625" customWidth="1"/>
    <col min="10" max="10" width="22.28515625" bestFit="1" customWidth="1"/>
    <col min="11" max="11" width="24.140625" bestFit="1" customWidth="1"/>
    <col min="12" max="12" width="58.42578125" customWidth="1"/>
    <col min="14" max="14" width="21.7109375" bestFit="1" customWidth="1"/>
    <col min="15" max="15" width="6.85546875" bestFit="1" customWidth="1"/>
    <col min="16" max="16" width="11.7109375" bestFit="1" customWidth="1"/>
    <col min="17" max="17" width="25.5703125" bestFit="1" customWidth="1"/>
    <col min="18" max="18" width="10.42578125" bestFit="1" customWidth="1"/>
    <col min="19" max="19" width="7.140625" customWidth="1"/>
    <col min="20" max="20" width="14" bestFit="1" customWidth="1"/>
    <col min="21" max="21" width="5.7109375" customWidth="1"/>
    <col min="22" max="22" width="13.42578125" bestFit="1" customWidth="1"/>
    <col min="23" max="23" width="4.5703125" customWidth="1"/>
  </cols>
  <sheetData>
    <row r="1" spans="1:23" ht="112.9" customHeight="1" thickBot="1" x14ac:dyDescent="0.4">
      <c r="A1" s="52" t="s">
        <v>78</v>
      </c>
      <c r="B1" s="53"/>
      <c r="C1" s="53"/>
      <c r="D1" s="53"/>
      <c r="E1" s="53"/>
      <c r="F1" s="53"/>
      <c r="G1" s="53"/>
      <c r="H1" s="53"/>
      <c r="I1" s="54"/>
      <c r="J1" s="48"/>
      <c r="K1" s="48"/>
      <c r="L1" s="49"/>
      <c r="N1" s="55" t="s">
        <v>89</v>
      </c>
      <c r="O1" s="56"/>
      <c r="P1" s="56"/>
      <c r="Q1" s="56"/>
      <c r="R1" s="56"/>
      <c r="S1" s="56"/>
      <c r="T1" s="56"/>
      <c r="U1" s="56"/>
      <c r="V1" s="56"/>
      <c r="W1" s="57"/>
    </row>
    <row r="2" spans="1:23" ht="19.5" thickBot="1" x14ac:dyDescent="0.35">
      <c r="A2" s="10" t="s">
        <v>0</v>
      </c>
      <c r="B2" s="11" t="s">
        <v>53</v>
      </c>
      <c r="C2" s="11" t="s">
        <v>54</v>
      </c>
      <c r="D2" s="11" t="s">
        <v>15</v>
      </c>
      <c r="E2" s="11" t="s">
        <v>1</v>
      </c>
      <c r="F2" s="11" t="s">
        <v>2</v>
      </c>
      <c r="G2" s="11" t="s">
        <v>3</v>
      </c>
      <c r="H2" s="11" t="s">
        <v>77</v>
      </c>
      <c r="I2" s="11" t="s">
        <v>51</v>
      </c>
      <c r="J2" s="11" t="s">
        <v>58</v>
      </c>
      <c r="K2" s="11" t="s">
        <v>76</v>
      </c>
      <c r="L2" s="12" t="s">
        <v>4</v>
      </c>
      <c r="N2" s="13" t="s">
        <v>79</v>
      </c>
      <c r="O2" s="14" t="s">
        <v>80</v>
      </c>
      <c r="P2" s="15">
        <f>MIN(A3:A350)</f>
        <v>0</v>
      </c>
      <c r="Q2" s="14" t="s">
        <v>81</v>
      </c>
      <c r="R2" s="61">
        <f>MAX(A3:A350)</f>
        <v>0</v>
      </c>
      <c r="S2" s="62"/>
      <c r="T2" s="62"/>
      <c r="U2" s="62"/>
      <c r="V2" s="62"/>
      <c r="W2" s="63"/>
    </row>
    <row r="3" spans="1:23" x14ac:dyDescent="0.2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5"/>
      <c r="N3" s="16"/>
      <c r="O3" s="17"/>
      <c r="P3" s="17"/>
      <c r="Q3" s="17"/>
      <c r="R3" s="17"/>
      <c r="S3" s="17"/>
      <c r="T3" s="17"/>
      <c r="U3" s="17"/>
      <c r="V3" s="17"/>
      <c r="W3" s="18"/>
    </row>
    <row r="4" spans="1:23" x14ac:dyDescent="0.2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5"/>
      <c r="N4" s="64" t="s">
        <v>53</v>
      </c>
      <c r="O4" s="60"/>
      <c r="P4" s="65" t="s">
        <v>82</v>
      </c>
      <c r="Q4" s="60"/>
      <c r="R4" s="67" t="s">
        <v>1</v>
      </c>
      <c r="S4" s="60"/>
      <c r="T4" s="65" t="s">
        <v>84</v>
      </c>
      <c r="U4" s="60"/>
      <c r="V4" s="65" t="s">
        <v>87</v>
      </c>
      <c r="W4" s="66"/>
    </row>
    <row r="5" spans="1:23" x14ac:dyDescent="0.25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5"/>
      <c r="N5" s="19" t="s">
        <v>55</v>
      </c>
      <c r="O5" s="20">
        <f>COUNTIF(B3:B350,"08.00 - 18.00")</f>
        <v>0</v>
      </c>
      <c r="P5" s="21" t="s">
        <v>85</v>
      </c>
      <c r="Q5" s="20">
        <f>COUNTIF(C3:C350,"0 - 1 yr")</f>
        <v>0</v>
      </c>
      <c r="R5" s="21" t="s">
        <v>35</v>
      </c>
      <c r="S5" s="22">
        <f>COUNTIF(E3:E350,"ASA 1")</f>
        <v>0</v>
      </c>
      <c r="T5" s="21" t="s">
        <v>42</v>
      </c>
      <c r="U5" s="20">
        <f>COUNTIF(I3:I350,"GA mask")</f>
        <v>0</v>
      </c>
      <c r="V5" s="21" t="s">
        <v>16</v>
      </c>
      <c r="W5" s="23">
        <f>COUNTIF(H3:H350,"Cardiac")</f>
        <v>0</v>
      </c>
    </row>
    <row r="6" spans="1:23" x14ac:dyDescent="0.2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5"/>
      <c r="N6" s="19" t="s">
        <v>56</v>
      </c>
      <c r="O6" s="20">
        <f>COUNTIF(B3:B350,"18.00 - 24.00")</f>
        <v>0</v>
      </c>
      <c r="P6" s="21" t="s">
        <v>14</v>
      </c>
      <c r="Q6" s="20">
        <f>COUNTIF(C3:C350,"1 - 5 yr")</f>
        <v>0</v>
      </c>
      <c r="R6" s="21" t="s">
        <v>36</v>
      </c>
      <c r="S6" s="24">
        <f>COUNTIF(E3:E350,"ASA 2")</f>
        <v>0</v>
      </c>
      <c r="T6" s="21" t="s">
        <v>43</v>
      </c>
      <c r="U6" s="25">
        <f>COUNTIF(I3:I350,"GA LMA")</f>
        <v>0</v>
      </c>
      <c r="V6" s="21" t="s">
        <v>17</v>
      </c>
      <c r="W6" s="23">
        <f>COUNTIF(H3:H350,"Dental")</f>
        <v>0</v>
      </c>
    </row>
    <row r="7" spans="1:23" x14ac:dyDescent="0.25">
      <c r="A7" s="2"/>
      <c r="B7" s="3"/>
      <c r="C7" s="4"/>
      <c r="D7" s="4"/>
      <c r="E7" s="4"/>
      <c r="F7" s="4"/>
      <c r="G7" s="4"/>
      <c r="H7" s="4"/>
      <c r="I7" s="4"/>
      <c r="J7" s="4"/>
      <c r="K7" s="4"/>
      <c r="L7" s="5"/>
      <c r="N7" s="26" t="s">
        <v>57</v>
      </c>
      <c r="O7" s="27">
        <f>COUNTIF(B3:B350,"00.00 - 08.00")</f>
        <v>0</v>
      </c>
      <c r="P7" s="21" t="s">
        <v>13</v>
      </c>
      <c r="Q7" s="20">
        <f>COUNTIF(C3:C350,"6 - 15 yr")</f>
        <v>0</v>
      </c>
      <c r="R7" s="21" t="s">
        <v>37</v>
      </c>
      <c r="S7" s="22">
        <f>COUNTIF(E3:E350,"ASA 3")</f>
        <v>0</v>
      </c>
      <c r="T7" s="21" t="s">
        <v>44</v>
      </c>
      <c r="U7" s="20">
        <f>COUNTIF(I3:I350,"GA LMA IPPV")</f>
        <v>0</v>
      </c>
      <c r="V7" s="21" t="s">
        <v>18</v>
      </c>
      <c r="W7" s="23">
        <f>COUNTIF(H3:H350,"ENT")</f>
        <v>0</v>
      </c>
    </row>
    <row r="8" spans="1:23" x14ac:dyDescent="0.25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5"/>
      <c r="N8" s="28"/>
      <c r="O8" s="29"/>
      <c r="P8" s="21" t="s">
        <v>12</v>
      </c>
      <c r="Q8" s="20">
        <f>COUNTIF(C3:C350,"16 - 80 yr")</f>
        <v>0</v>
      </c>
      <c r="R8" s="21" t="s">
        <v>38</v>
      </c>
      <c r="S8" s="22">
        <f>COUNTIF(E3:E350,"ASA 4")</f>
        <v>0</v>
      </c>
      <c r="T8" s="21" t="s">
        <v>45</v>
      </c>
      <c r="U8" s="20">
        <f>COUNTIF(I3:I350,"GA ETT SV")</f>
        <v>0</v>
      </c>
      <c r="V8" s="21" t="s">
        <v>19</v>
      </c>
      <c r="W8" s="23">
        <f>COUNTIF(H3:H350,"General")</f>
        <v>0</v>
      </c>
    </row>
    <row r="9" spans="1:23" x14ac:dyDescent="0.25">
      <c r="A9" s="2"/>
      <c r="B9" s="3"/>
      <c r="C9" s="4"/>
      <c r="D9" s="4"/>
      <c r="E9" s="4"/>
      <c r="F9" s="4"/>
      <c r="G9" s="4"/>
      <c r="H9" s="4"/>
      <c r="I9" s="4"/>
      <c r="J9" s="4"/>
      <c r="K9" s="4"/>
      <c r="L9" s="5"/>
      <c r="N9" s="28"/>
      <c r="O9" s="29"/>
      <c r="P9" s="30" t="s">
        <v>86</v>
      </c>
      <c r="Q9" s="27">
        <f>COUNTIF(C3:C350,"Over 80 yr")</f>
        <v>0</v>
      </c>
      <c r="R9" s="21" t="s">
        <v>39</v>
      </c>
      <c r="S9" s="22">
        <f>COUNTIF(E3:E350,"ASA 5")</f>
        <v>0</v>
      </c>
      <c r="T9" s="21" t="s">
        <v>46</v>
      </c>
      <c r="U9" s="20">
        <f>COUNTIF(I3:I350,"GA ETT IPPV")</f>
        <v>0</v>
      </c>
      <c r="V9" s="21" t="s">
        <v>20</v>
      </c>
      <c r="W9" s="23">
        <f>COUNTIF(H3:H350,"Gynaecology")</f>
        <v>0</v>
      </c>
    </row>
    <row r="10" spans="1:23" x14ac:dyDescent="0.25">
      <c r="A10" s="2"/>
      <c r="B10" s="3"/>
      <c r="C10" s="4"/>
      <c r="D10" s="4"/>
      <c r="E10" s="4"/>
      <c r="F10" s="4"/>
      <c r="G10" s="4"/>
      <c r="H10" s="4"/>
      <c r="I10" s="4"/>
      <c r="J10" s="4"/>
      <c r="K10" s="4"/>
      <c r="L10" s="5"/>
      <c r="N10" s="28"/>
      <c r="O10" s="29"/>
      <c r="P10" s="29"/>
      <c r="Q10" s="29"/>
      <c r="R10" s="30" t="s">
        <v>40</v>
      </c>
      <c r="S10" s="31">
        <f>COUNTIF(E3:E350,"Donor")</f>
        <v>0</v>
      </c>
      <c r="T10" s="21" t="s">
        <v>47</v>
      </c>
      <c r="U10" s="20">
        <f>COUNTIF(I3:I350,"LA")</f>
        <v>0</v>
      </c>
      <c r="V10" s="21" t="s">
        <v>21</v>
      </c>
      <c r="W10" s="23">
        <f>COUNTIF(H3:H350,"Maxillo-facial")</f>
        <v>0</v>
      </c>
    </row>
    <row r="11" spans="1:23" x14ac:dyDescent="0.25">
      <c r="A11" s="2"/>
      <c r="B11" s="3"/>
      <c r="C11" s="4"/>
      <c r="D11" s="4"/>
      <c r="E11" s="4"/>
      <c r="F11" s="4"/>
      <c r="G11" s="4"/>
      <c r="H11" s="4"/>
      <c r="I11" s="4"/>
      <c r="J11" s="4"/>
      <c r="K11" s="4"/>
      <c r="L11" s="5"/>
      <c r="N11" s="28"/>
      <c r="O11" s="29"/>
      <c r="P11" s="29"/>
      <c r="Q11" s="29"/>
      <c r="R11" s="29"/>
      <c r="S11" s="29"/>
      <c r="T11" s="21" t="s">
        <v>48</v>
      </c>
      <c r="U11" s="20">
        <f>COUNTIF(I3:I350,"Sedation")</f>
        <v>0</v>
      </c>
      <c r="V11" s="21" t="s">
        <v>22</v>
      </c>
      <c r="W11" s="23">
        <f>COUNTIF(H3:H350,"Miscellaneous")</f>
        <v>0</v>
      </c>
    </row>
    <row r="12" spans="1:23" x14ac:dyDescent="0.25">
      <c r="A12" s="2"/>
      <c r="B12" s="3"/>
      <c r="C12" s="4"/>
      <c r="D12" s="4"/>
      <c r="E12" s="4"/>
      <c r="F12" s="4"/>
      <c r="G12" s="4"/>
      <c r="H12" s="4"/>
      <c r="I12" s="4"/>
      <c r="J12" s="4"/>
      <c r="K12" s="4"/>
      <c r="L12" s="5"/>
      <c r="N12" s="64" t="s">
        <v>83</v>
      </c>
      <c r="O12" s="60"/>
      <c r="P12" s="65" t="s">
        <v>15</v>
      </c>
      <c r="Q12" s="60"/>
      <c r="R12" s="58" t="s">
        <v>3</v>
      </c>
      <c r="S12" s="60"/>
      <c r="T12" s="32" t="s">
        <v>49</v>
      </c>
      <c r="U12" s="20">
        <f>COUNTIF(I3:I350,"Monitoring only")</f>
        <v>0</v>
      </c>
      <c r="V12" s="21" t="s">
        <v>23</v>
      </c>
      <c r="W12" s="23">
        <f>COUNTIF(H3:H350,"Neonates")</f>
        <v>0</v>
      </c>
    </row>
    <row r="13" spans="1:23" x14ac:dyDescent="0.25">
      <c r="A13" s="2"/>
      <c r="B13" s="3"/>
      <c r="C13" s="4"/>
      <c r="D13" s="4"/>
      <c r="E13" s="4"/>
      <c r="F13" s="4"/>
      <c r="G13" s="4"/>
      <c r="H13" s="4"/>
      <c r="I13" s="4"/>
      <c r="J13" s="4"/>
      <c r="K13" s="4"/>
      <c r="L13" s="5"/>
      <c r="N13" s="33" t="s">
        <v>5</v>
      </c>
      <c r="O13" s="22">
        <f>COUNTIF(F3:F350,"Immediate")</f>
        <v>0</v>
      </c>
      <c r="P13" s="34" t="s">
        <v>7</v>
      </c>
      <c r="Q13" s="20">
        <f>COUNTIF(D3:D350,"F")</f>
        <v>0</v>
      </c>
      <c r="R13" s="21" t="s">
        <v>11</v>
      </c>
      <c r="S13" s="22">
        <f>COUNTIF(G3:G350,"Routine")</f>
        <v>0</v>
      </c>
      <c r="T13" s="35" t="s">
        <v>50</v>
      </c>
      <c r="U13" s="27">
        <f>COUNTIF(I3:I350,"Other")</f>
        <v>0</v>
      </c>
      <c r="V13" s="21" t="s">
        <v>24</v>
      </c>
      <c r="W13" s="23">
        <f>COUNTIF(H3:H350,"Neuro")</f>
        <v>0</v>
      </c>
    </row>
    <row r="14" spans="1:23" x14ac:dyDescent="0.25">
      <c r="A14" s="2"/>
      <c r="B14" s="3"/>
      <c r="C14" s="4"/>
      <c r="D14" s="4"/>
      <c r="E14" s="4"/>
      <c r="F14" s="4"/>
      <c r="G14" s="4"/>
      <c r="H14" s="4"/>
      <c r="I14" s="4"/>
      <c r="J14" s="4"/>
      <c r="K14" s="4"/>
      <c r="L14" s="5"/>
      <c r="N14" s="33" t="s">
        <v>41</v>
      </c>
      <c r="O14" s="22">
        <f>COUNTIF(F3:F350,"Local")</f>
        <v>0</v>
      </c>
      <c r="P14" s="36" t="s">
        <v>8</v>
      </c>
      <c r="Q14" s="27">
        <f>COUNTIF(D3:D350,"M")</f>
        <v>0</v>
      </c>
      <c r="R14" s="21" t="s">
        <v>52</v>
      </c>
      <c r="S14" s="22">
        <f>COUNTIF(G3:G350,"Day case")</f>
        <v>0</v>
      </c>
      <c r="T14" s="29"/>
      <c r="U14" s="29"/>
      <c r="V14" s="21" t="s">
        <v>25</v>
      </c>
      <c r="W14" s="23">
        <f>COUNTIF(H3:H350,"Obstetrics")</f>
        <v>0</v>
      </c>
    </row>
    <row r="15" spans="1:23" x14ac:dyDescent="0.25">
      <c r="A15" s="2"/>
      <c r="B15" s="3"/>
      <c r="C15" s="4"/>
      <c r="D15" s="4"/>
      <c r="E15" s="4"/>
      <c r="F15" s="4"/>
      <c r="G15" s="4"/>
      <c r="H15" s="4"/>
      <c r="I15" s="4"/>
      <c r="J15" s="4"/>
      <c r="K15" s="4"/>
      <c r="L15" s="5"/>
      <c r="N15" s="37" t="s">
        <v>90</v>
      </c>
      <c r="O15" s="31">
        <f>COUNTIF(F3:F350,"Teaching")</f>
        <v>0</v>
      </c>
      <c r="P15" s="29"/>
      <c r="Q15" s="29"/>
      <c r="R15" s="21" t="s">
        <v>6</v>
      </c>
      <c r="S15" s="22">
        <f>COUNTIF(G3:G350,"Urgent")</f>
        <v>0</v>
      </c>
      <c r="T15" s="29"/>
      <c r="U15" s="29"/>
      <c r="V15" s="21" t="s">
        <v>26</v>
      </c>
      <c r="W15" s="23">
        <f>COUNTIF(H3:H350,"Ophthalmics")</f>
        <v>0</v>
      </c>
    </row>
    <row r="16" spans="1:23" x14ac:dyDescent="0.25">
      <c r="A16" s="2"/>
      <c r="B16" s="3"/>
      <c r="C16" s="4"/>
      <c r="D16" s="4"/>
      <c r="E16" s="4"/>
      <c r="F16" s="4"/>
      <c r="G16" s="4"/>
      <c r="H16" s="4"/>
      <c r="I16" s="4"/>
      <c r="J16" s="4"/>
      <c r="K16" s="4"/>
      <c r="L16" s="5"/>
      <c r="N16" s="50" t="s">
        <v>91</v>
      </c>
      <c r="O16" s="51">
        <f>COUNTIF(F3:F350,"Solo")</f>
        <v>0</v>
      </c>
      <c r="P16" s="29"/>
      <c r="Q16" s="29"/>
      <c r="R16" s="30" t="s">
        <v>9</v>
      </c>
      <c r="S16" s="31">
        <f>COUNTIF(G3:G350,"Emergency")</f>
        <v>0</v>
      </c>
      <c r="T16" s="29"/>
      <c r="U16" s="29"/>
      <c r="V16" s="21" t="s">
        <v>27</v>
      </c>
      <c r="W16" s="23">
        <f>COUNTIF(H3:H350,"Orthopaedics")</f>
        <v>0</v>
      </c>
    </row>
    <row r="17" spans="1:23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5"/>
      <c r="N17" s="28"/>
      <c r="O17" s="29"/>
      <c r="P17" s="29"/>
      <c r="Q17" s="29"/>
      <c r="R17" s="29"/>
      <c r="S17" s="29"/>
      <c r="T17" s="29"/>
      <c r="U17" s="29"/>
      <c r="V17" s="21" t="s">
        <v>28</v>
      </c>
      <c r="W17" s="23">
        <f>COUNTIF(H3:H350,"Paediatrics")</f>
        <v>0</v>
      </c>
    </row>
    <row r="18" spans="1:23" x14ac:dyDescent="0.25">
      <c r="A18" s="2"/>
      <c r="B18" s="3"/>
      <c r="C18" s="4"/>
      <c r="D18" s="4"/>
      <c r="E18" s="4"/>
      <c r="F18" s="4"/>
      <c r="G18" s="4"/>
      <c r="H18" s="4"/>
      <c r="I18" s="4"/>
      <c r="J18" s="4"/>
      <c r="K18" s="4"/>
      <c r="L18" s="5"/>
      <c r="N18" s="68" t="s">
        <v>58</v>
      </c>
      <c r="O18" s="59"/>
      <c r="P18" s="60"/>
      <c r="Q18" s="58" t="s">
        <v>76</v>
      </c>
      <c r="R18" s="59"/>
      <c r="S18" s="60"/>
      <c r="T18" s="29"/>
      <c r="U18" s="29"/>
      <c r="V18" s="21" t="s">
        <v>29</v>
      </c>
      <c r="W18" s="23">
        <f>COUNTIF(H3:H350,"Plastics")</f>
        <v>0</v>
      </c>
    </row>
    <row r="19" spans="1:23" x14ac:dyDescent="0.25">
      <c r="A19" s="2"/>
      <c r="B19" s="3"/>
      <c r="C19" s="4"/>
      <c r="D19" s="4"/>
      <c r="E19" s="4"/>
      <c r="F19" s="4"/>
      <c r="G19" s="4"/>
      <c r="H19" s="4"/>
      <c r="I19" s="4"/>
      <c r="J19" s="4"/>
      <c r="K19" s="4"/>
      <c r="L19" s="5"/>
      <c r="N19" s="33" t="s">
        <v>59</v>
      </c>
      <c r="O19" s="32"/>
      <c r="P19" s="20">
        <f>COUNTIF(J3:J350,"Spinal")</f>
        <v>0</v>
      </c>
      <c r="Q19" s="38" t="s">
        <v>68</v>
      </c>
      <c r="R19" s="39"/>
      <c r="S19" s="22">
        <f>COUNTIF(K3:K350,"RSI")</f>
        <v>0</v>
      </c>
      <c r="T19" s="29"/>
      <c r="U19" s="29"/>
      <c r="V19" s="21" t="s">
        <v>30</v>
      </c>
      <c r="W19" s="23">
        <f>COUNTIF(H3:H350,"Radiology")</f>
        <v>0</v>
      </c>
    </row>
    <row r="20" spans="1:23" x14ac:dyDescent="0.25">
      <c r="A20" s="2"/>
      <c r="B20" s="3"/>
      <c r="C20" s="4"/>
      <c r="D20" s="4"/>
      <c r="E20" s="4"/>
      <c r="F20" s="4"/>
      <c r="G20" s="4"/>
      <c r="H20" s="4"/>
      <c r="I20" s="4"/>
      <c r="J20" s="4"/>
      <c r="K20" s="4"/>
      <c r="L20" s="5"/>
      <c r="N20" s="33" t="s">
        <v>60</v>
      </c>
      <c r="O20" s="32"/>
      <c r="P20" s="20">
        <f>COUNTIF(J3:J350,"Epidural*")</f>
        <v>0</v>
      </c>
      <c r="Q20" s="21" t="s">
        <v>69</v>
      </c>
      <c r="R20" s="32"/>
      <c r="S20" s="22">
        <f>COUNTIF(K3:K350,"TIVA")</f>
        <v>0</v>
      </c>
      <c r="T20" s="29"/>
      <c r="U20" s="29"/>
      <c r="V20" s="21" t="s">
        <v>31</v>
      </c>
      <c r="W20" s="23">
        <f>COUNTIF(H3:H350,"Resuscitation")</f>
        <v>0</v>
      </c>
    </row>
    <row r="21" spans="1:23" x14ac:dyDescent="0.25">
      <c r="A21" s="2"/>
      <c r="B21" s="3"/>
      <c r="C21" s="4"/>
      <c r="D21" s="4"/>
      <c r="E21" s="4"/>
      <c r="F21" s="4"/>
      <c r="G21" s="4"/>
      <c r="H21" s="4"/>
      <c r="I21" s="4"/>
      <c r="J21" s="4"/>
      <c r="K21" s="4"/>
      <c r="L21" s="5"/>
      <c r="N21" s="33" t="s">
        <v>61</v>
      </c>
      <c r="O21" s="32"/>
      <c r="P21" s="20">
        <f>COUNTIF(J3:J350,"Brachial*")</f>
        <v>0</v>
      </c>
      <c r="Q21" s="21" t="s">
        <v>88</v>
      </c>
      <c r="R21" s="32"/>
      <c r="S21" s="22">
        <f>COUNTIF(K3:K350,"PA catheter")</f>
        <v>0</v>
      </c>
      <c r="T21" s="29"/>
      <c r="U21" s="29"/>
      <c r="V21" s="21" t="s">
        <v>32</v>
      </c>
      <c r="W21" s="23">
        <f>COUNTIF(H3:H350,"Trauma")</f>
        <v>0</v>
      </c>
    </row>
    <row r="22" spans="1:23" x14ac:dyDescent="0.25">
      <c r="A22" s="2"/>
      <c r="B22" s="3"/>
      <c r="C22" s="4"/>
      <c r="D22" s="4"/>
      <c r="E22" s="4"/>
      <c r="F22" s="4"/>
      <c r="G22" s="4"/>
      <c r="H22" s="4"/>
      <c r="I22" s="4"/>
      <c r="J22" s="4"/>
      <c r="K22" s="4"/>
      <c r="L22" s="5"/>
      <c r="N22" s="33" t="s">
        <v>62</v>
      </c>
      <c r="O22" s="32"/>
      <c r="P22" s="20">
        <f>COUNTIF(J3:J350,"Sciatic")</f>
        <v>0</v>
      </c>
      <c r="Q22" s="21" t="s">
        <v>70</v>
      </c>
      <c r="R22" s="32"/>
      <c r="S22" s="22">
        <f>COUNTIF(K3:K350,"CVP line")</f>
        <v>0</v>
      </c>
      <c r="T22" s="29"/>
      <c r="U22" s="29"/>
      <c r="V22" s="21" t="s">
        <v>33</v>
      </c>
      <c r="W22" s="23">
        <f>COUNTIF(H3:H350,"Thoracic")</f>
        <v>0</v>
      </c>
    </row>
    <row r="23" spans="1:23" x14ac:dyDescent="0.25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5"/>
      <c r="N23" s="33" t="s">
        <v>63</v>
      </c>
      <c r="O23" s="32"/>
      <c r="P23" s="20">
        <f>COUNTIF(J3:J350,"Femoral")</f>
        <v>0</v>
      </c>
      <c r="Q23" s="21" t="s">
        <v>71</v>
      </c>
      <c r="R23" s="32"/>
      <c r="S23" s="22">
        <f>COUNTIF(K3:K350,"Arterial line")</f>
        <v>0</v>
      </c>
      <c r="T23" s="29"/>
      <c r="U23" s="29"/>
      <c r="V23" s="21" t="s">
        <v>10</v>
      </c>
      <c r="W23" s="23">
        <f>COUNTIF(H3:H350,"Urology")</f>
        <v>0</v>
      </c>
    </row>
    <row r="24" spans="1:23" x14ac:dyDescent="0.25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  <c r="N24" s="33" t="s">
        <v>64</v>
      </c>
      <c r="O24" s="32"/>
      <c r="P24" s="20">
        <f>COUNTIF(J3:J350,"IVRA")</f>
        <v>0</v>
      </c>
      <c r="Q24" s="21" t="s">
        <v>72</v>
      </c>
      <c r="R24" s="32"/>
      <c r="S24" s="22">
        <f>COUNTIF(K3:K350,"Fibreoptic*")</f>
        <v>0</v>
      </c>
      <c r="T24" s="29"/>
      <c r="U24" s="29"/>
      <c r="V24" s="30" t="s">
        <v>34</v>
      </c>
      <c r="W24" s="40">
        <f>COUNTIF(H3:H350,"Vascular")</f>
        <v>0</v>
      </c>
    </row>
    <row r="25" spans="1:23" x14ac:dyDescent="0.25">
      <c r="A25" s="2"/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  <c r="N25" s="33" t="s">
        <v>65</v>
      </c>
      <c r="O25" s="32"/>
      <c r="P25" s="20">
        <f>COUNTIF(J3:J350,"Minor*")</f>
        <v>0</v>
      </c>
      <c r="Q25" s="21" t="s">
        <v>73</v>
      </c>
      <c r="R25" s="32"/>
      <c r="S25" s="22">
        <f>COUNTIF(K3:K350,"Percutaneous*")</f>
        <v>0</v>
      </c>
      <c r="T25" s="29"/>
      <c r="U25" s="29"/>
      <c r="V25" s="29"/>
      <c r="W25" s="41"/>
    </row>
    <row r="26" spans="1:23" x14ac:dyDescent="0.25">
      <c r="A26" s="2"/>
      <c r="B26" s="3"/>
      <c r="C26" s="4"/>
      <c r="D26" s="4"/>
      <c r="E26" s="4"/>
      <c r="F26" s="4"/>
      <c r="G26" s="4"/>
      <c r="H26" s="4"/>
      <c r="I26" s="4"/>
      <c r="J26" s="4"/>
      <c r="K26" s="4"/>
      <c r="L26" s="5"/>
      <c r="N26" s="33" t="s">
        <v>66</v>
      </c>
      <c r="O26" s="32"/>
      <c r="P26" s="20">
        <f>COUNTIF(J3:J350,"Cervical*")</f>
        <v>0</v>
      </c>
      <c r="Q26" s="21" t="s">
        <v>74</v>
      </c>
      <c r="R26" s="32"/>
      <c r="S26" s="22">
        <f>COUNTIF(K3:K350,"Double lumen tube")</f>
        <v>0</v>
      </c>
      <c r="T26" s="29"/>
      <c r="U26" s="29"/>
      <c r="V26" s="29"/>
      <c r="W26" s="41"/>
    </row>
    <row r="27" spans="1:23" x14ac:dyDescent="0.25">
      <c r="A27" s="2"/>
      <c r="B27" s="3"/>
      <c r="C27" s="4"/>
      <c r="D27" s="4"/>
      <c r="E27" s="4"/>
      <c r="F27" s="4"/>
      <c r="G27" s="4"/>
      <c r="H27" s="4"/>
      <c r="I27" s="4"/>
      <c r="J27" s="4"/>
      <c r="K27" s="4"/>
      <c r="L27" s="5"/>
      <c r="N27" s="37" t="s">
        <v>67</v>
      </c>
      <c r="O27" s="35"/>
      <c r="P27" s="27">
        <f>COUNTIF(J3:J350,"Peripheral")</f>
        <v>0</v>
      </c>
      <c r="Q27" s="21" t="s">
        <v>75</v>
      </c>
      <c r="R27" s="32"/>
      <c r="S27" s="22">
        <f>COUNTIF(K3:K350,"Chest drain")</f>
        <v>0</v>
      </c>
      <c r="T27" s="29"/>
      <c r="U27" s="29"/>
      <c r="V27" s="29"/>
      <c r="W27" s="41"/>
    </row>
    <row r="28" spans="1:23" ht="15.75" thickBot="1" x14ac:dyDescent="0.3">
      <c r="A28" s="2"/>
      <c r="B28" s="3"/>
      <c r="C28" s="4"/>
      <c r="D28" s="4"/>
      <c r="E28" s="4"/>
      <c r="F28" s="4"/>
      <c r="G28" s="4"/>
      <c r="H28" s="4"/>
      <c r="I28" s="4"/>
      <c r="J28" s="4"/>
      <c r="K28" s="4"/>
      <c r="L28" s="5"/>
      <c r="N28" s="42"/>
      <c r="O28" s="43"/>
      <c r="P28" s="43"/>
      <c r="Q28" s="44" t="s">
        <v>50</v>
      </c>
      <c r="R28" s="45"/>
      <c r="S28" s="46">
        <f>COUNTIF(K3:K350,"Other")</f>
        <v>0</v>
      </c>
      <c r="T28" s="43"/>
      <c r="U28" s="43"/>
      <c r="V28" s="43"/>
      <c r="W28" s="47"/>
    </row>
    <row r="29" spans="1:23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  <c r="L29" s="5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5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5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2"/>
      <c r="B32" s="3"/>
      <c r="C32" s="4"/>
      <c r="D32" s="4"/>
      <c r="E32" s="4"/>
      <c r="F32" s="4"/>
      <c r="G32" s="4"/>
      <c r="H32" s="4"/>
      <c r="I32" s="4"/>
      <c r="J32" s="4"/>
      <c r="K32" s="4"/>
      <c r="L32" s="5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  <c r="L33" s="5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2"/>
      <c r="B34" s="3"/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1:23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5"/>
    </row>
    <row r="36" spans="1:23" x14ac:dyDescent="0.25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5"/>
    </row>
    <row r="37" spans="1:23" x14ac:dyDescent="0.25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5"/>
    </row>
    <row r="38" spans="1:23" x14ac:dyDescent="0.25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5"/>
    </row>
    <row r="39" spans="1:23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5"/>
    </row>
    <row r="40" spans="1:23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5"/>
    </row>
    <row r="41" spans="1:23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5"/>
    </row>
    <row r="42" spans="1:23" x14ac:dyDescent="0.25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5"/>
    </row>
    <row r="43" spans="1:23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23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5"/>
    </row>
    <row r="45" spans="1:23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4"/>
      <c r="L45" s="5"/>
    </row>
    <row r="46" spans="1:23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5"/>
    </row>
    <row r="47" spans="1:23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5"/>
    </row>
    <row r="48" spans="1:23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5"/>
    </row>
    <row r="49" spans="1:12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5"/>
    </row>
    <row r="50" spans="1:12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5"/>
    </row>
    <row r="51" spans="1:12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5"/>
    </row>
    <row r="52" spans="1:12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5"/>
    </row>
    <row r="53" spans="1:12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5"/>
    </row>
    <row r="54" spans="1:12" x14ac:dyDescent="0.25">
      <c r="A54" s="2"/>
      <c r="B54" s="3"/>
      <c r="C54" s="4"/>
      <c r="D54" s="4"/>
      <c r="E54" s="4"/>
      <c r="F54" s="4"/>
      <c r="G54" s="4"/>
      <c r="H54" s="4"/>
      <c r="I54" s="4"/>
      <c r="J54" s="4"/>
      <c r="K54" s="4"/>
      <c r="L54" s="5"/>
    </row>
    <row r="55" spans="1:12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5"/>
    </row>
    <row r="56" spans="1:12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5"/>
    </row>
    <row r="57" spans="1:12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5"/>
    </row>
    <row r="58" spans="1:12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5"/>
    </row>
    <row r="59" spans="1:12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5"/>
    </row>
    <row r="60" spans="1:12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5"/>
    </row>
    <row r="61" spans="1:12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5"/>
    </row>
    <row r="62" spans="1:12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5"/>
    </row>
    <row r="63" spans="1:12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5"/>
    </row>
    <row r="64" spans="1:12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5"/>
    </row>
    <row r="65" spans="1:12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5"/>
    </row>
    <row r="66" spans="1:12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5"/>
    </row>
    <row r="67" spans="1:12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5"/>
    </row>
    <row r="68" spans="1:12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5"/>
    </row>
    <row r="69" spans="1:12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5"/>
    </row>
    <row r="70" spans="1:12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5"/>
    </row>
    <row r="71" spans="1:12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5"/>
    </row>
    <row r="72" spans="1:12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5"/>
    </row>
    <row r="73" spans="1:12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5"/>
    </row>
    <row r="74" spans="1:12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5"/>
    </row>
    <row r="75" spans="1:12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5"/>
    </row>
    <row r="76" spans="1:12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5"/>
    </row>
    <row r="77" spans="1:12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5"/>
    </row>
    <row r="78" spans="1:12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5"/>
    </row>
    <row r="79" spans="1:12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5"/>
    </row>
    <row r="80" spans="1:12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5"/>
    </row>
    <row r="81" spans="1:12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5"/>
    </row>
    <row r="82" spans="1:12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5"/>
    </row>
    <row r="83" spans="1:12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5"/>
    </row>
    <row r="84" spans="1:12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5"/>
    </row>
    <row r="85" spans="1:12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5"/>
    </row>
    <row r="86" spans="1:12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5"/>
    </row>
    <row r="87" spans="1:12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5"/>
    </row>
    <row r="88" spans="1:12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5"/>
    </row>
    <row r="89" spans="1:12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5"/>
    </row>
    <row r="90" spans="1:12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5"/>
    </row>
    <row r="91" spans="1:12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5"/>
    </row>
    <row r="92" spans="1:12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5"/>
    </row>
    <row r="93" spans="1:12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5"/>
    </row>
    <row r="94" spans="1:12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5"/>
    </row>
    <row r="95" spans="1:12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5"/>
    </row>
    <row r="96" spans="1:12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5"/>
    </row>
    <row r="97" spans="1:12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5"/>
    </row>
    <row r="98" spans="1:12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5"/>
    </row>
    <row r="99" spans="1:12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5"/>
    </row>
    <row r="100" spans="1:12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5"/>
    </row>
    <row r="101" spans="1:12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5"/>
    </row>
    <row r="102" spans="1:12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5"/>
    </row>
    <row r="103" spans="1:12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5"/>
    </row>
    <row r="104" spans="1:12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5"/>
    </row>
    <row r="105" spans="1:12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5"/>
    </row>
    <row r="106" spans="1:12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5"/>
    </row>
    <row r="107" spans="1:12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5"/>
    </row>
    <row r="108" spans="1:12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5"/>
    </row>
    <row r="109" spans="1:12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5"/>
    </row>
    <row r="110" spans="1:12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5"/>
    </row>
    <row r="111" spans="1:12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5"/>
    </row>
    <row r="112" spans="1:12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5"/>
    </row>
    <row r="113" spans="1:12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5"/>
    </row>
    <row r="114" spans="1:12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5"/>
    </row>
    <row r="115" spans="1:12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5"/>
    </row>
    <row r="116" spans="1:12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5"/>
    </row>
    <row r="117" spans="1:12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5"/>
    </row>
    <row r="118" spans="1:12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5"/>
    </row>
    <row r="119" spans="1:12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5"/>
    </row>
    <row r="120" spans="1:12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5"/>
    </row>
    <row r="121" spans="1:12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5"/>
    </row>
    <row r="122" spans="1:12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5"/>
    </row>
    <row r="123" spans="1:12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5"/>
    </row>
    <row r="124" spans="1:12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5"/>
    </row>
    <row r="125" spans="1:12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5"/>
    </row>
    <row r="126" spans="1:12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5"/>
    </row>
    <row r="127" spans="1:12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5"/>
    </row>
    <row r="128" spans="1:12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5"/>
    </row>
    <row r="129" spans="1:12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5"/>
    </row>
    <row r="130" spans="1:12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5"/>
    </row>
    <row r="131" spans="1:12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5"/>
    </row>
    <row r="132" spans="1:12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5"/>
    </row>
    <row r="133" spans="1:12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5"/>
    </row>
    <row r="134" spans="1:12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5"/>
    </row>
    <row r="135" spans="1:12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5"/>
    </row>
    <row r="136" spans="1:12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5"/>
    </row>
    <row r="137" spans="1:12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5"/>
    </row>
    <row r="138" spans="1:12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5"/>
    </row>
    <row r="139" spans="1:12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5"/>
    </row>
    <row r="140" spans="1:12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5"/>
    </row>
    <row r="141" spans="1:12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5"/>
    </row>
    <row r="142" spans="1:12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5"/>
    </row>
    <row r="143" spans="1:12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5"/>
    </row>
    <row r="144" spans="1:12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5"/>
    </row>
    <row r="145" spans="1:12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5"/>
    </row>
    <row r="146" spans="1:12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5"/>
    </row>
    <row r="147" spans="1:12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5"/>
    </row>
    <row r="148" spans="1:12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5"/>
    </row>
    <row r="149" spans="1:12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5"/>
    </row>
    <row r="150" spans="1:12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5"/>
    </row>
    <row r="151" spans="1:12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5"/>
    </row>
    <row r="152" spans="1:12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5"/>
    </row>
    <row r="153" spans="1:12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5"/>
    </row>
    <row r="154" spans="1:12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5"/>
    </row>
    <row r="155" spans="1:12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5"/>
    </row>
    <row r="156" spans="1:12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5"/>
    </row>
    <row r="157" spans="1:12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5"/>
    </row>
    <row r="158" spans="1:12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5"/>
    </row>
    <row r="159" spans="1:12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5"/>
    </row>
    <row r="160" spans="1:12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5"/>
    </row>
    <row r="161" spans="1:12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5"/>
    </row>
    <row r="162" spans="1:12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5"/>
    </row>
    <row r="163" spans="1:12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5"/>
    </row>
    <row r="164" spans="1:12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5"/>
    </row>
    <row r="165" spans="1:12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5"/>
    </row>
    <row r="166" spans="1:12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5"/>
    </row>
    <row r="167" spans="1:12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5"/>
    </row>
    <row r="168" spans="1:12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5"/>
    </row>
    <row r="169" spans="1:12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5"/>
    </row>
    <row r="170" spans="1:12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5"/>
    </row>
    <row r="171" spans="1:12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5"/>
    </row>
    <row r="172" spans="1:12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5"/>
    </row>
    <row r="173" spans="1:12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5"/>
    </row>
    <row r="174" spans="1:12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5"/>
    </row>
    <row r="175" spans="1:12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5"/>
    </row>
    <row r="176" spans="1:12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5"/>
    </row>
    <row r="177" spans="1:12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5"/>
    </row>
    <row r="178" spans="1:12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5"/>
    </row>
    <row r="179" spans="1:12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5"/>
    </row>
    <row r="180" spans="1:12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5"/>
    </row>
    <row r="181" spans="1:12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5"/>
    </row>
    <row r="182" spans="1:12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5"/>
    </row>
    <row r="183" spans="1:12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5"/>
    </row>
    <row r="184" spans="1:12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5"/>
    </row>
    <row r="185" spans="1:12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5"/>
    </row>
    <row r="186" spans="1:12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5"/>
    </row>
    <row r="187" spans="1:12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5"/>
    </row>
    <row r="188" spans="1:12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5"/>
    </row>
    <row r="189" spans="1:12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5"/>
    </row>
    <row r="190" spans="1:12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5"/>
    </row>
    <row r="191" spans="1:12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5"/>
    </row>
    <row r="192" spans="1:12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5"/>
    </row>
    <row r="193" spans="1:12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5"/>
    </row>
    <row r="194" spans="1:12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5"/>
    </row>
    <row r="195" spans="1:12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5"/>
    </row>
    <row r="196" spans="1:12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5"/>
    </row>
    <row r="197" spans="1:12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5"/>
    </row>
    <row r="198" spans="1:12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5"/>
    </row>
    <row r="199" spans="1:12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5"/>
    </row>
    <row r="200" spans="1:12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5"/>
    </row>
    <row r="201" spans="1:12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5"/>
    </row>
    <row r="202" spans="1:12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5"/>
    </row>
    <row r="203" spans="1:12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5"/>
    </row>
    <row r="204" spans="1:12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5"/>
    </row>
    <row r="205" spans="1:12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5"/>
    </row>
    <row r="206" spans="1:12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5"/>
    </row>
    <row r="207" spans="1:12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5"/>
    </row>
    <row r="208" spans="1:12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5"/>
    </row>
    <row r="209" spans="1:12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5"/>
    </row>
    <row r="210" spans="1:12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5"/>
    </row>
    <row r="211" spans="1:12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5"/>
    </row>
    <row r="212" spans="1:12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5"/>
    </row>
    <row r="213" spans="1:12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5"/>
    </row>
    <row r="214" spans="1:12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5"/>
    </row>
    <row r="215" spans="1:12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5"/>
    </row>
    <row r="216" spans="1:12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5"/>
    </row>
    <row r="217" spans="1:12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5"/>
    </row>
    <row r="218" spans="1:12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5"/>
    </row>
    <row r="219" spans="1:12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5"/>
    </row>
    <row r="220" spans="1:12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5"/>
    </row>
    <row r="221" spans="1:12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5"/>
    </row>
    <row r="222" spans="1:12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5"/>
    </row>
    <row r="223" spans="1:12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5"/>
    </row>
    <row r="224" spans="1:12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5"/>
    </row>
    <row r="225" spans="1:12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5"/>
    </row>
    <row r="226" spans="1:12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5"/>
    </row>
    <row r="227" spans="1:12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5"/>
    </row>
    <row r="228" spans="1:12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5"/>
    </row>
    <row r="229" spans="1:12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5"/>
    </row>
    <row r="230" spans="1:12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5"/>
    </row>
    <row r="231" spans="1:12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5"/>
    </row>
    <row r="232" spans="1:12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5"/>
    </row>
    <row r="233" spans="1:12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5"/>
    </row>
    <row r="234" spans="1:12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5"/>
    </row>
    <row r="235" spans="1:12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5"/>
    </row>
    <row r="236" spans="1:12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5"/>
    </row>
    <row r="237" spans="1:12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5"/>
    </row>
    <row r="238" spans="1:12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5"/>
    </row>
    <row r="239" spans="1:12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5"/>
    </row>
    <row r="240" spans="1:12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5"/>
    </row>
    <row r="241" spans="1:12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5"/>
    </row>
    <row r="242" spans="1:12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5"/>
    </row>
    <row r="243" spans="1:12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5"/>
    </row>
    <row r="244" spans="1:12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5"/>
    </row>
    <row r="245" spans="1:12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5"/>
    </row>
    <row r="246" spans="1:12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5"/>
    </row>
    <row r="247" spans="1:12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5"/>
    </row>
    <row r="248" spans="1:12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5"/>
    </row>
    <row r="249" spans="1:12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5"/>
    </row>
    <row r="250" spans="1:12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5"/>
    </row>
    <row r="251" spans="1:12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5"/>
    </row>
    <row r="252" spans="1:12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5"/>
    </row>
    <row r="253" spans="1:12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5"/>
    </row>
    <row r="254" spans="1:12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5"/>
    </row>
    <row r="255" spans="1:12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5"/>
    </row>
    <row r="256" spans="1:12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5"/>
    </row>
    <row r="257" spans="1:12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5"/>
    </row>
    <row r="258" spans="1:12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5"/>
    </row>
    <row r="259" spans="1:12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5"/>
    </row>
    <row r="260" spans="1:12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5"/>
    </row>
    <row r="261" spans="1:12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5"/>
    </row>
    <row r="262" spans="1:12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5"/>
    </row>
    <row r="263" spans="1:12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5"/>
    </row>
    <row r="264" spans="1:12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5"/>
    </row>
    <row r="265" spans="1:12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5"/>
    </row>
    <row r="266" spans="1:12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5"/>
    </row>
    <row r="267" spans="1:12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5"/>
    </row>
    <row r="268" spans="1:12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5"/>
    </row>
    <row r="269" spans="1:12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5"/>
    </row>
    <row r="270" spans="1:12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5"/>
    </row>
    <row r="271" spans="1:12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5"/>
    </row>
    <row r="272" spans="1:12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5"/>
    </row>
    <row r="273" spans="1:12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5"/>
    </row>
    <row r="274" spans="1:12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5"/>
    </row>
    <row r="275" spans="1:12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5"/>
    </row>
    <row r="276" spans="1:12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5"/>
    </row>
    <row r="277" spans="1:12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5"/>
    </row>
    <row r="278" spans="1:12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5"/>
    </row>
    <row r="279" spans="1:12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5"/>
    </row>
    <row r="280" spans="1:12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5"/>
    </row>
    <row r="281" spans="1:12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5"/>
    </row>
    <row r="282" spans="1:12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5"/>
    </row>
    <row r="283" spans="1:12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5"/>
    </row>
    <row r="284" spans="1:12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5"/>
    </row>
    <row r="285" spans="1:12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5"/>
    </row>
    <row r="286" spans="1:12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5"/>
    </row>
    <row r="287" spans="1:12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5"/>
    </row>
    <row r="288" spans="1:12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5"/>
    </row>
    <row r="289" spans="1:12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5"/>
    </row>
    <row r="290" spans="1:12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5"/>
    </row>
    <row r="291" spans="1:12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5"/>
    </row>
    <row r="292" spans="1:12" x14ac:dyDescent="0.25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5"/>
    </row>
    <row r="293" spans="1:12" x14ac:dyDescent="0.25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5"/>
    </row>
    <row r="294" spans="1:12" x14ac:dyDescent="0.25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5"/>
    </row>
    <row r="295" spans="1:12" x14ac:dyDescent="0.25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5"/>
    </row>
    <row r="296" spans="1:12" x14ac:dyDescent="0.25">
      <c r="A296" s="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5"/>
    </row>
    <row r="297" spans="1:12" x14ac:dyDescent="0.25">
      <c r="A297" s="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5"/>
    </row>
    <row r="298" spans="1:12" x14ac:dyDescent="0.25">
      <c r="A298" s="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5"/>
    </row>
    <row r="299" spans="1:12" x14ac:dyDescent="0.25">
      <c r="A299" s="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5"/>
    </row>
    <row r="300" spans="1:12" x14ac:dyDescent="0.25">
      <c r="A300" s="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5"/>
    </row>
    <row r="301" spans="1:12" x14ac:dyDescent="0.25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5"/>
    </row>
    <row r="302" spans="1:12" x14ac:dyDescent="0.25">
      <c r="A302" s="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5"/>
    </row>
    <row r="303" spans="1:12" x14ac:dyDescent="0.25">
      <c r="A303" s="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5"/>
    </row>
    <row r="304" spans="1:12" x14ac:dyDescent="0.25">
      <c r="A304" s="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5"/>
    </row>
    <row r="305" spans="1:12" x14ac:dyDescent="0.25">
      <c r="A305" s="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5"/>
    </row>
    <row r="306" spans="1:12" x14ac:dyDescent="0.25">
      <c r="A306" s="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5"/>
    </row>
    <row r="307" spans="1:12" x14ac:dyDescent="0.25">
      <c r="A307" s="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5"/>
    </row>
    <row r="308" spans="1:12" x14ac:dyDescent="0.25">
      <c r="A308" s="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5"/>
    </row>
    <row r="309" spans="1:12" x14ac:dyDescent="0.25">
      <c r="A309" s="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5"/>
    </row>
    <row r="310" spans="1:12" x14ac:dyDescent="0.25">
      <c r="A310" s="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5"/>
    </row>
    <row r="311" spans="1:12" x14ac:dyDescent="0.25">
      <c r="A311" s="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5"/>
    </row>
    <row r="312" spans="1:12" x14ac:dyDescent="0.25">
      <c r="A312" s="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5"/>
    </row>
    <row r="313" spans="1:12" x14ac:dyDescent="0.25">
      <c r="A313" s="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5"/>
    </row>
    <row r="314" spans="1:12" x14ac:dyDescent="0.25">
      <c r="A314" s="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5"/>
    </row>
    <row r="315" spans="1:12" x14ac:dyDescent="0.25">
      <c r="A315" s="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5"/>
    </row>
    <row r="316" spans="1:12" x14ac:dyDescent="0.25">
      <c r="A316" s="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5"/>
    </row>
    <row r="317" spans="1:12" x14ac:dyDescent="0.25">
      <c r="A317" s="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5"/>
    </row>
    <row r="318" spans="1:12" x14ac:dyDescent="0.25">
      <c r="A318" s="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5"/>
    </row>
    <row r="319" spans="1:12" x14ac:dyDescent="0.25">
      <c r="A319" s="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5"/>
    </row>
    <row r="320" spans="1:12" x14ac:dyDescent="0.25">
      <c r="A320" s="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5"/>
    </row>
    <row r="321" spans="1:12" x14ac:dyDescent="0.25">
      <c r="A321" s="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5"/>
    </row>
    <row r="322" spans="1:12" x14ac:dyDescent="0.25">
      <c r="A322" s="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5"/>
    </row>
    <row r="323" spans="1:12" x14ac:dyDescent="0.25">
      <c r="A323" s="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5"/>
    </row>
    <row r="324" spans="1:12" x14ac:dyDescent="0.25">
      <c r="A324" s="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5"/>
    </row>
    <row r="325" spans="1:12" x14ac:dyDescent="0.25">
      <c r="A325" s="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5"/>
    </row>
    <row r="326" spans="1:12" x14ac:dyDescent="0.25">
      <c r="A326" s="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5"/>
    </row>
    <row r="327" spans="1:12" x14ac:dyDescent="0.25">
      <c r="A327" s="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5"/>
    </row>
    <row r="328" spans="1:12" x14ac:dyDescent="0.25">
      <c r="A328" s="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5"/>
    </row>
    <row r="329" spans="1:12" x14ac:dyDescent="0.25">
      <c r="A329" s="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5"/>
    </row>
    <row r="330" spans="1:12" x14ac:dyDescent="0.25">
      <c r="A330" s="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5"/>
    </row>
    <row r="331" spans="1:12" x14ac:dyDescent="0.25">
      <c r="A331" s="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5"/>
    </row>
    <row r="332" spans="1:12" x14ac:dyDescent="0.25">
      <c r="A332" s="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5"/>
    </row>
    <row r="333" spans="1:12" x14ac:dyDescent="0.25">
      <c r="A333" s="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5"/>
    </row>
    <row r="334" spans="1:12" x14ac:dyDescent="0.25">
      <c r="A334" s="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5"/>
    </row>
    <row r="335" spans="1:12" x14ac:dyDescent="0.25">
      <c r="A335" s="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5"/>
    </row>
    <row r="336" spans="1:12" x14ac:dyDescent="0.25">
      <c r="A336" s="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5"/>
    </row>
    <row r="337" spans="1:12" x14ac:dyDescent="0.25">
      <c r="A337" s="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5"/>
    </row>
    <row r="338" spans="1:12" x14ac:dyDescent="0.25">
      <c r="A338" s="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5"/>
    </row>
    <row r="339" spans="1:12" x14ac:dyDescent="0.25">
      <c r="A339" s="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5"/>
    </row>
    <row r="340" spans="1:12" x14ac:dyDescent="0.25">
      <c r="A340" s="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5"/>
    </row>
    <row r="341" spans="1:12" x14ac:dyDescent="0.25">
      <c r="A341" s="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5"/>
    </row>
    <row r="342" spans="1:12" x14ac:dyDescent="0.25">
      <c r="A342" s="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5"/>
    </row>
    <row r="343" spans="1:12" x14ac:dyDescent="0.25">
      <c r="A343" s="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5"/>
    </row>
    <row r="344" spans="1:12" x14ac:dyDescent="0.25">
      <c r="A344" s="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5"/>
    </row>
    <row r="345" spans="1:12" x14ac:dyDescent="0.25">
      <c r="A345" s="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5"/>
    </row>
    <row r="346" spans="1:12" x14ac:dyDescent="0.25">
      <c r="A346" s="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5"/>
    </row>
    <row r="347" spans="1:12" x14ac:dyDescent="0.25">
      <c r="A347" s="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5"/>
    </row>
    <row r="348" spans="1:12" x14ac:dyDescent="0.25">
      <c r="A348" s="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5"/>
    </row>
    <row r="349" spans="1:12" x14ac:dyDescent="0.25">
      <c r="A349" s="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5"/>
    </row>
    <row r="350" spans="1:12" ht="15.75" thickBot="1" x14ac:dyDescent="0.3">
      <c r="A350" s="6"/>
      <c r="B350" s="7"/>
      <c r="C350" s="8"/>
      <c r="D350" s="8"/>
      <c r="E350" s="8"/>
      <c r="F350" s="8"/>
      <c r="G350" s="8"/>
      <c r="H350" s="8"/>
      <c r="I350" s="8"/>
      <c r="J350" s="8"/>
      <c r="K350" s="8"/>
      <c r="L350" s="9"/>
    </row>
    <row r="351" spans="1:12" x14ac:dyDescent="0.25">
      <c r="H351" s="1"/>
    </row>
  </sheetData>
  <sheetProtection algorithmName="SHA-512" hashValue="S3P8w5ZmOu9jbCPjVM8Y2B7ONU9+IXrnwH7oId2cboFhoBK6bX9vcr09AFWBjEIpNxnynstaJ/P1Ml/CR1bQkA==" saltValue="fz2jv97NLHe8qegvH4PVKA==" spinCount="100000" sheet="1" objects="1" scenarios="1" selectLockedCells="1"/>
  <mergeCells count="13">
    <mergeCell ref="A1:I1"/>
    <mergeCell ref="N1:W1"/>
    <mergeCell ref="Q18:S18"/>
    <mergeCell ref="R2:W2"/>
    <mergeCell ref="N12:O12"/>
    <mergeCell ref="P12:Q12"/>
    <mergeCell ref="R12:S12"/>
    <mergeCell ref="V4:W4"/>
    <mergeCell ref="T4:U4"/>
    <mergeCell ref="R4:S4"/>
    <mergeCell ref="P4:Q4"/>
    <mergeCell ref="N4:O4"/>
    <mergeCell ref="N18:P18"/>
  </mergeCells>
  <phoneticPr fontId="2" type="noConversion"/>
  <dataValidations count="11">
    <dataValidation type="list" allowBlank="1" showInputMessage="1" showErrorMessage="1" sqref="C3:C350">
      <formula1>$P$5:$P$9</formula1>
    </dataValidation>
    <dataValidation type="list" allowBlank="1" showInputMessage="1" showErrorMessage="1" sqref="B3:B350">
      <formula1>$N$5:$N$7</formula1>
    </dataValidation>
    <dataValidation type="list" allowBlank="1" showInputMessage="1" showErrorMessage="1" sqref="E3:E350">
      <formula1>$R$5:$R$10</formula1>
    </dataValidation>
    <dataValidation type="list" allowBlank="1" showInputMessage="1" showErrorMessage="1" sqref="H3:H351">
      <formula1>$V$5:$V$24</formula1>
    </dataValidation>
    <dataValidation type="list" allowBlank="1" showInputMessage="1" showErrorMessage="1" sqref="I3:I350">
      <formula1>$T$5:$T$13</formula1>
    </dataValidation>
    <dataValidation type="list" allowBlank="1" showInputMessage="1" showErrorMessage="1" sqref="D3:D350">
      <formula1>$P$13:$P$14</formula1>
    </dataValidation>
    <dataValidation type="list" allowBlank="1" showInputMessage="1" showErrorMessage="1" sqref="F4:F350">
      <formula1>$N$13:$N$15</formula1>
    </dataValidation>
    <dataValidation type="list" allowBlank="1" showInputMessage="1" showErrorMessage="1" sqref="G3:G350">
      <formula1>$R$13:$R$16</formula1>
    </dataValidation>
    <dataValidation type="list" allowBlank="1" showInputMessage="1" showErrorMessage="1" sqref="J3:J350">
      <formula1>$N$19:$N$27</formula1>
    </dataValidation>
    <dataValidation type="list" allowBlank="1" showInputMessage="1" showErrorMessage="1" sqref="K3:K350">
      <formula1>$Q$19:$Q$28</formula1>
    </dataValidation>
    <dataValidation type="list" allowBlank="1" showInputMessage="1" showErrorMessage="1" sqref="F3">
      <formula1>$N$13:$N$16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Frost, Anna</cp:lastModifiedBy>
  <dcterms:created xsi:type="dcterms:W3CDTF">2020-07-30T12:12:21Z</dcterms:created>
  <dcterms:modified xsi:type="dcterms:W3CDTF">2021-03-23T21:46:59Z</dcterms:modified>
</cp:coreProperties>
</file>